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6\Contabilidade\até 31-12-2019\Backups\usar esse arquivo\Documentos\Educação\educação 2023\"/>
    </mc:Choice>
  </mc:AlternateContent>
  <bookViews>
    <workbookView xWindow="0" yWindow="0" windowWidth="20490" windowHeight="74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90" i="1" l="1"/>
  <c r="G24" i="1"/>
  <c r="F96" i="1" l="1"/>
  <c r="G96" i="1"/>
  <c r="H96" i="1" s="1"/>
  <c r="G94" i="1"/>
  <c r="H86" i="1"/>
  <c r="H82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H80" i="1" s="1"/>
  <c r="F81" i="1"/>
  <c r="H81" i="1" s="1"/>
  <c r="F82" i="1"/>
  <c r="F83" i="1"/>
  <c r="H83" i="1" s="1"/>
  <c r="F84" i="1"/>
  <c r="H84" i="1" s="1"/>
  <c r="F85" i="1"/>
  <c r="H85" i="1" s="1"/>
  <c r="F86" i="1"/>
  <c r="F87" i="1"/>
  <c r="H87" i="1" s="1"/>
  <c r="F88" i="1"/>
  <c r="H88" i="1" s="1"/>
  <c r="F89" i="1"/>
  <c r="F66" i="1"/>
  <c r="F65" i="1"/>
  <c r="F64" i="1"/>
  <c r="F63" i="1"/>
  <c r="F62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66" i="1"/>
  <c r="B89" i="1" l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66" i="1"/>
  <c r="G23" i="1"/>
  <c r="F58" i="1" s="1"/>
  <c r="H94" i="1" l="1"/>
  <c r="H67" i="1" l="1"/>
  <c r="H64" i="1" l="1"/>
  <c r="H65" i="1" l="1"/>
  <c r="H66" i="1" l="1"/>
  <c r="G16" i="1" l="1"/>
  <c r="H74" i="1"/>
  <c r="H75" i="1"/>
  <c r="H76" i="1"/>
  <c r="H77" i="1"/>
  <c r="H78" i="1"/>
  <c r="H79" i="1"/>
  <c r="H73" i="1"/>
  <c r="H71" i="1"/>
  <c r="H72" i="1"/>
  <c r="H70" i="1"/>
  <c r="H69" i="1"/>
  <c r="H89" i="1"/>
  <c r="H63" i="1"/>
  <c r="H62" i="1"/>
  <c r="H29" i="1" l="1"/>
  <c r="F59" i="1" s="1"/>
  <c r="G93" i="1"/>
  <c r="H93" i="1" s="1"/>
  <c r="H68" i="1"/>
  <c r="F60" i="1" l="1"/>
  <c r="H60" i="1" s="1"/>
  <c r="H55" i="1"/>
  <c r="H58" i="1"/>
  <c r="H59" i="1"/>
  <c r="F61" i="1" l="1"/>
  <c r="H61" i="1" s="1"/>
  <c r="F90" i="1" l="1"/>
  <c r="H90" i="1" s="1"/>
</calcChain>
</file>

<file path=xl/sharedStrings.xml><?xml version="1.0" encoding="utf-8"?>
<sst xmlns="http://schemas.openxmlformats.org/spreadsheetml/2006/main" count="178" uniqueCount="171">
  <si>
    <t>PREFEITURA MUNICIPAL DE ANTÔNIO CARLOS</t>
  </si>
  <si>
    <t xml:space="preserve">DEMONSTRATIVO DA ORIGEM E DA DESTINAÇÃO DOS RECURSOS VINCULADOS AO </t>
  </si>
  <si>
    <t>ENSINO BÁSICO</t>
  </si>
  <si>
    <t>1. BASE DE CÁLCULO DA ORIGEM DOS RECURSOS</t>
  </si>
  <si>
    <t>1.1. Receitas Oriundas de Impostos</t>
  </si>
  <si>
    <t>Realizada até o mês</t>
  </si>
  <si>
    <t>IPTU</t>
  </si>
  <si>
    <t>ITBI</t>
  </si>
  <si>
    <t>ISS</t>
  </si>
  <si>
    <t xml:space="preserve">IRRF   </t>
  </si>
  <si>
    <t>(-) Descontos e Renúncia de Receita</t>
  </si>
  <si>
    <t xml:space="preserve">                                                             SOMA</t>
  </si>
  <si>
    <t>1.2. Receitas Resultantes de Impostos, Base de Cálculo do FUNDEB</t>
  </si>
  <si>
    <t>Cota-Parte do FPM</t>
  </si>
  <si>
    <t>Cota-Parte do ICMS</t>
  </si>
  <si>
    <t>Cota-Parte do IPI</t>
  </si>
  <si>
    <t>Cota-Parte do ITR</t>
  </si>
  <si>
    <t xml:space="preserve">Cota-Parte do IPVA </t>
  </si>
  <si>
    <t>SOMA</t>
  </si>
  <si>
    <t>1.3. TOTAL DAS RECEITAS RESULTANTES DE IMPOSTOS</t>
  </si>
  <si>
    <t>2 – ORIGEM DOS RECURSOS VINCULADOS AO ENSINO BÁSICO</t>
  </si>
  <si>
    <t>CÓDIGO D.R.</t>
  </si>
  <si>
    <t>Especificação Das Fontes de Recursos</t>
  </si>
  <si>
    <t>Valor até o Mês</t>
  </si>
  <si>
    <t>2.1</t>
  </si>
  <si>
    <t>2.2</t>
  </si>
  <si>
    <t>2.3</t>
  </si>
  <si>
    <t>2.5</t>
  </si>
  <si>
    <t>Cota-Parte do Salário Educação</t>
  </si>
  <si>
    <t>2.6</t>
  </si>
  <si>
    <t>2.7</t>
  </si>
  <si>
    <t>2.8</t>
  </si>
  <si>
    <t xml:space="preserve">Convênio Transporte Escolar Estadual - Ensino Médio </t>
  </si>
  <si>
    <t>2.10</t>
  </si>
  <si>
    <t>2.11</t>
  </si>
  <si>
    <t>2.12</t>
  </si>
  <si>
    <t>Transferências Diretas do FNDE - PNATE</t>
  </si>
  <si>
    <t>2.13</t>
  </si>
  <si>
    <t>2.14</t>
  </si>
  <si>
    <t>2.15</t>
  </si>
  <si>
    <t>Transferências Diretas do FNDE - PNAE</t>
  </si>
  <si>
    <t>2.17</t>
  </si>
  <si>
    <t>TOTAL</t>
  </si>
  <si>
    <t>3. DESTINAÇÃO DO RECURSOS VINCULADOS AO ENSINO BÁSICO</t>
  </si>
  <si>
    <t>CÓDIGO F.R.</t>
  </si>
  <si>
    <t>CÓDIGO SUB-FUNÇÃO</t>
  </si>
  <si>
    <t>Especificação</t>
  </si>
  <si>
    <t>Exigência Legal</t>
  </si>
  <si>
    <t>Diferença</t>
  </si>
  <si>
    <t>3.1</t>
  </si>
  <si>
    <t>3.2</t>
  </si>
  <si>
    <t>Contribuição ao FUNDEB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</si>
  <si>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</si>
  <si>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</si>
  <si>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</si>
  <si>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</si>
  <si>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</si>
  <si>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</si>
  <si>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</si>
  <si>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</si>
  <si>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</si>
  <si>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</si>
  <si>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</si>
  <si>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</si>
  <si>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</si>
  <si>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</si>
  <si>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</si>
  <si>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3.19</t>
  </si>
  <si>
    <t>3.21</t>
  </si>
  <si>
    <t>3.24</t>
  </si>
  <si>
    <t xml:space="preserve">                                   TOTAL</t>
  </si>
  <si>
    <t>4. CONTROLE DO CUMPRIMENTO DOS GASTOS</t>
  </si>
  <si>
    <t>MÍNIMO</t>
  </si>
  <si>
    <t>REALIZADO</t>
  </si>
  <si>
    <t>DIFERENÇA</t>
  </si>
  <si>
    <t>4.1. Manutenção e Desenvolvimento do Ensino</t>
  </si>
  <si>
    <t>4.2. Remuneração Profissionais do Magistério</t>
  </si>
  <si>
    <t xml:space="preserve">        </t>
  </si>
  <si>
    <t xml:space="preserve">             </t>
  </si>
  <si>
    <t>2.4</t>
  </si>
  <si>
    <t>Realizado até o Mês</t>
  </si>
  <si>
    <t>361/365</t>
  </si>
  <si>
    <t>3.13</t>
  </si>
  <si>
    <t>FPM 1%</t>
  </si>
  <si>
    <t>3.26</t>
  </si>
  <si>
    <t>2.9</t>
  </si>
  <si>
    <t>2.16</t>
  </si>
  <si>
    <t>2.18</t>
  </si>
  <si>
    <t>Educação de Jovens e Adultos 1%</t>
  </si>
  <si>
    <t>4.3. Aplicação Fundeb - Máximo de 10%</t>
  </si>
  <si>
    <t xml:space="preserve"> Valor Permitido</t>
  </si>
  <si>
    <t>Valor não Aplicado</t>
  </si>
  <si>
    <t>%</t>
  </si>
  <si>
    <t xml:space="preserve">                GERALDO PAULI                       ELAINE A. PETRY CUNRADI                     LIDIANE VENTURA FRAGA</t>
  </si>
  <si>
    <t xml:space="preserve">              Prefeito municipal                                      Contadora                                      Secretária M. de Educação </t>
  </si>
  <si>
    <t>Receitas oriundas de Impostos - 29%</t>
  </si>
  <si>
    <t>0.01.0500.1001</t>
  </si>
  <si>
    <t>0.01.0540.1070</t>
  </si>
  <si>
    <t>0.01.0540.7000</t>
  </si>
  <si>
    <t>0.01.0550.7000</t>
  </si>
  <si>
    <t>0.01.0552.7000</t>
  </si>
  <si>
    <t>0.01.0553.7000</t>
  </si>
  <si>
    <t>0.01.0571.70005</t>
  </si>
  <si>
    <t>0.01.0571.70006</t>
  </si>
  <si>
    <t>0.01.0570.700012</t>
  </si>
  <si>
    <t>0.01.0570.700071</t>
  </si>
  <si>
    <t>0.01.0570.700010</t>
  </si>
  <si>
    <t>Convênio MEC – Aquisição de Ônibus Escolar</t>
  </si>
  <si>
    <t>Convênio MEC – Ampliação Rede Ensino Infantil</t>
  </si>
  <si>
    <t>Convênio MEC – Ampliação Rede Ensino Fundamental</t>
  </si>
  <si>
    <t>0.02.0540.1070</t>
  </si>
  <si>
    <t>Superávit Transferências do FUNDEB – Parte do 70%</t>
  </si>
  <si>
    <t>0.02.0550.7000</t>
  </si>
  <si>
    <t>Superávit Cota-Parte do Salário Educação</t>
  </si>
  <si>
    <t>0.02.0552.7000</t>
  </si>
  <si>
    <t>Superávit PNAE</t>
  </si>
  <si>
    <t>0.02.0553.7000</t>
  </si>
  <si>
    <t>Superávit PNATE</t>
  </si>
  <si>
    <t>0.02.0571.70005</t>
  </si>
  <si>
    <t>0.02.0571.70006</t>
  </si>
  <si>
    <t>Convênio Transporte Escolar Estadual - Ensino Fundamental</t>
  </si>
  <si>
    <t>Superávit Convênio Transporte Escolar Estadual - Ensino Fundamental</t>
  </si>
  <si>
    <t>Superávit Convênio Transporte Escolar Estadual - Ensino Médio</t>
  </si>
  <si>
    <t>Superávit Convênio  - Transf. Especial - Quadra Dom Afonso</t>
  </si>
  <si>
    <t>Superávit Convênio  - Transf. Especial - Reforma Xenia</t>
  </si>
  <si>
    <t>Superávit Convênio  - Transf. Especial - Aquisição Onibus</t>
  </si>
  <si>
    <t>Superávit Convênio  - Transf. Especial - Ampliação Dom Afonso</t>
  </si>
  <si>
    <t>0.02.0710.3210188</t>
  </si>
  <si>
    <t>0.02.0571.7000213</t>
  </si>
  <si>
    <t>0.02.0571.7000215</t>
  </si>
  <si>
    <t>0.02.0571.7000216</t>
  </si>
  <si>
    <t>0.02.0571.7000218</t>
  </si>
  <si>
    <t>Superávit - emenda Impositva Educação</t>
  </si>
  <si>
    <t>0.01.0571.7000213</t>
  </si>
  <si>
    <t>0.01.0571.7000215</t>
  </si>
  <si>
    <t>0.01.0571.7000216</t>
  </si>
  <si>
    <t>0.01.0571.7000218</t>
  </si>
  <si>
    <t>0.01.0710.3210188</t>
  </si>
  <si>
    <t>Convênio  - Transf. Especial - Quadra Dom Afonso</t>
  </si>
  <si>
    <t>Convênio  - Transf. Especial - Reforma Xenia</t>
  </si>
  <si>
    <t>Convênio  - Transf. Especial - Aquisição Onibus</t>
  </si>
  <si>
    <t>Convênio  - Transf. Especial - Ampliação Dom Afonso</t>
  </si>
  <si>
    <t>Emenda Impositva - Educação</t>
  </si>
  <si>
    <t>2.19</t>
  </si>
  <si>
    <t>2.20</t>
  </si>
  <si>
    <t>2.21</t>
  </si>
  <si>
    <t>2.22</t>
  </si>
  <si>
    <t>2.23</t>
  </si>
  <si>
    <t>2.24</t>
  </si>
  <si>
    <t>2.25</t>
  </si>
  <si>
    <t>2.26</t>
  </si>
  <si>
    <t>3.20</t>
  </si>
  <si>
    <t>3.22</t>
  </si>
  <si>
    <t>3.23</t>
  </si>
  <si>
    <t>3.25</t>
  </si>
  <si>
    <t>3.27</t>
  </si>
  <si>
    <t>3.28</t>
  </si>
  <si>
    <t xml:space="preserve">Transferências do FUNDEB </t>
  </si>
  <si>
    <t>0.01.0540.0000</t>
  </si>
  <si>
    <t>3.29</t>
  </si>
  <si>
    <t>3.30</t>
  </si>
  <si>
    <t>3.31</t>
  </si>
  <si>
    <t>3.32</t>
  </si>
  <si>
    <t>Ensino Fundamental 56%</t>
  </si>
  <si>
    <t>Educação Infantil  43%</t>
  </si>
  <si>
    <t>FUNDEB 70% - Ensino Fundamental  43%</t>
  </si>
  <si>
    <t>FUNDEB 70% - Educação Infantil  45%</t>
  </si>
  <si>
    <t>FUNDEB 30% - Ensino Fundamental 6%</t>
  </si>
  <si>
    <t>FUNDEB 30% - Ensino Infantil 6%</t>
  </si>
  <si>
    <t>REFERÊNCIA: 4º Bimestre de 2023</t>
  </si>
  <si>
    <t xml:space="preserve"> Antônio Carlos, em 08 de setembro de 2023.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</si>
</sst>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wrapText="1"/>
    </xf>
    <xf numFmtId="4" fontId="5" fillId="0" borderId="0" xfId="0" applyNumberFormat="1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/>
    <xf numFmtId="9" fontId="5" fillId="0" borderId="0" xfId="0" applyNumberFormat="1" applyFont="1" applyBorder="1" applyAlignment="1">
      <alignment horizontal="center" vertical="distributed" wrapText="1"/>
    </xf>
    <xf numFmtId="10" fontId="5" fillId="0" borderId="0" xfId="0" applyNumberFormat="1" applyFont="1" applyBorder="1" applyAlignment="1">
      <alignment horizontal="center" vertical="distributed" wrapText="1"/>
    </xf>
    <xf numFmtId="10" fontId="5" fillId="0" borderId="0" xfId="2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 wrapText="1"/>
    </xf>
    <xf numFmtId="9" fontId="5" fillId="0" borderId="19" xfId="0" applyNumberFormat="1" applyFont="1" applyBorder="1" applyAlignment="1">
      <alignment horizontal="center" vertical="distributed"/>
    </xf>
    <xf numFmtId="10" fontId="5" fillId="0" borderId="20" xfId="0" applyNumberFormat="1" applyFont="1" applyBorder="1" applyAlignment="1">
      <alignment horizontal="center" vertical="distributed" wrapText="1"/>
    </xf>
    <xf numFmtId="10" fontId="5" fillId="0" borderId="21" xfId="2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distributed" wrapText="1"/>
    </xf>
    <xf numFmtId="10" fontId="5" fillId="0" borderId="24" xfId="0" applyNumberFormat="1" applyFont="1" applyBorder="1" applyAlignment="1">
      <alignment horizontal="center" vertical="distributed" wrapText="1"/>
    </xf>
    <xf numFmtId="10" fontId="5" fillId="0" borderId="25" xfId="2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44" fontId="5" fillId="0" borderId="23" xfId="1" applyFont="1" applyBorder="1" applyAlignment="1">
      <alignment horizontal="center" vertical="distributed" wrapText="1"/>
    </xf>
    <xf numFmtId="44" fontId="5" fillId="0" borderId="24" xfId="1" applyFont="1" applyBorder="1" applyAlignment="1">
      <alignment horizontal="center" vertical="distributed" wrapText="1"/>
    </xf>
    <xf numFmtId="3" fontId="5" fillId="0" borderId="1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wrapText="1"/>
    </xf>
    <xf numFmtId="0" fontId="5" fillId="0" borderId="19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6" xfId="0" applyFont="1" applyBorder="1" applyAlignment="1">
      <alignment horizontal="center" vertical="distributed" wrapText="1"/>
    </xf>
    <xf numFmtId="0" fontId="0" fillId="0" borderId="26" xfId="0" applyBorder="1" applyAlignment="1">
      <alignment horizontal="center" vertical="distributed" wrapText="1"/>
    </xf>
    <xf numFmtId="0" fontId="5" fillId="0" borderId="19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distributed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9" fillId="0" borderId="19" xfId="0" applyFont="1" applyBorder="1" applyAlignment="1"/>
    <xf numFmtId="0" fontId="5" fillId="0" borderId="22" xfId="0" applyFont="1" applyBorder="1" applyAlignment="1">
      <alignment vertical="top" wrapText="1"/>
    </xf>
    <xf numFmtId="0" fontId="9" fillId="0" borderId="23" xfId="0" applyFont="1" applyBorder="1" applyAlignment="1"/>
    <xf numFmtId="0" fontId="5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79" workbookViewId="0">
      <selection activeCell="J92" sqref="J92"/>
    </sheetView>
  </sheetViews>
  <sheetFormatPr defaultRowHeight="15" x14ac:dyDescent="0.25"/>
  <cols>
    <col min="1" max="1" width="4.85546875" customWidth="1"/>
    <col min="2" max="2" width="17.42578125" customWidth="1"/>
    <col min="3" max="3" width="7.5703125" customWidth="1"/>
    <col min="5" max="5" width="49.5703125" customWidth="1"/>
    <col min="6" max="6" width="15.28515625" customWidth="1"/>
    <col min="7" max="7" width="15.7109375" customWidth="1"/>
    <col min="8" max="8" width="16" customWidth="1"/>
    <col min="9" max="9" width="15.85546875" bestFit="1" customWidth="1"/>
    <col min="10" max="10" width="14.28515625" bestFit="1" customWidth="1"/>
    <col min="15" max="15" width="9.140625" customWidth="1"/>
  </cols>
  <sheetData>
    <row r="1" spans="1:9" x14ac:dyDescent="0.25">
      <c r="A1" s="1" t="s">
        <v>0</v>
      </c>
    </row>
    <row r="2" spans="1:9" ht="9.75" customHeight="1" x14ac:dyDescent="0.25">
      <c r="A2" s="2"/>
    </row>
    <row r="3" spans="1:9" x14ac:dyDescent="0.25">
      <c r="A3" s="70" t="s">
        <v>1</v>
      </c>
      <c r="B3" s="71"/>
      <c r="C3" s="71"/>
      <c r="D3" s="71"/>
      <c r="E3" s="71"/>
      <c r="F3" s="71"/>
      <c r="G3" s="71"/>
      <c r="H3" s="71"/>
    </row>
    <row r="4" spans="1:9" x14ac:dyDescent="0.25">
      <c r="A4" s="70" t="s">
        <v>2</v>
      </c>
      <c r="B4" s="71"/>
      <c r="C4" s="71"/>
      <c r="D4" s="71"/>
      <c r="E4" s="71"/>
      <c r="F4" s="71"/>
      <c r="G4" s="71"/>
      <c r="H4" s="71"/>
    </row>
    <row r="5" spans="1:9" ht="8.25" customHeight="1" x14ac:dyDescent="0.25">
      <c r="A5" s="3"/>
    </row>
    <row r="6" spans="1:9" x14ac:dyDescent="0.25">
      <c r="A6" s="72" t="s">
        <v>169</v>
      </c>
      <c r="B6" s="73"/>
      <c r="C6" s="73"/>
      <c r="D6" s="73"/>
      <c r="E6" s="73"/>
      <c r="F6" s="73"/>
      <c r="G6" s="73"/>
      <c r="H6" s="73"/>
    </row>
    <row r="7" spans="1:9" ht="8.25" customHeight="1" x14ac:dyDescent="0.25">
      <c r="A7" s="2"/>
    </row>
    <row r="8" spans="1:9" x14ac:dyDescent="0.25">
      <c r="A8" s="74" t="s">
        <v>3</v>
      </c>
      <c r="B8" s="74"/>
      <c r="C8" s="74"/>
      <c r="D8" s="74"/>
      <c r="E8" s="74"/>
      <c r="F8" s="74"/>
      <c r="G8" s="74"/>
      <c r="H8" s="74"/>
    </row>
    <row r="9" spans="1:9" x14ac:dyDescent="0.25">
      <c r="A9" s="75" t="s">
        <v>4</v>
      </c>
      <c r="B9" s="75"/>
      <c r="C9" s="75"/>
      <c r="D9" s="75"/>
      <c r="E9" s="75"/>
      <c r="F9" s="75"/>
      <c r="G9" s="66" t="s">
        <v>5</v>
      </c>
      <c r="H9" s="66"/>
    </row>
    <row r="10" spans="1:9" x14ac:dyDescent="0.25">
      <c r="A10" s="61" t="s">
        <v>6</v>
      </c>
      <c r="B10" s="61"/>
      <c r="C10" s="61"/>
      <c r="D10" s="61"/>
      <c r="E10" s="61"/>
      <c r="F10" s="61"/>
      <c r="G10" s="62">
        <v>2428159.5499999998</v>
      </c>
      <c r="H10" s="62"/>
      <c r="I10" s="18"/>
    </row>
    <row r="11" spans="1:9" x14ac:dyDescent="0.25">
      <c r="A11" s="61" t="s">
        <v>7</v>
      </c>
      <c r="B11" s="61"/>
      <c r="C11" s="61"/>
      <c r="D11" s="61"/>
      <c r="E11" s="61"/>
      <c r="F11" s="61"/>
      <c r="G11" s="62">
        <v>861584.23</v>
      </c>
      <c r="H11" s="62"/>
      <c r="I11" s="18"/>
    </row>
    <row r="12" spans="1:9" x14ac:dyDescent="0.25">
      <c r="A12" s="61" t="s">
        <v>8</v>
      </c>
      <c r="B12" s="61"/>
      <c r="C12" s="61"/>
      <c r="D12" s="61"/>
      <c r="E12" s="61"/>
      <c r="F12" s="61"/>
      <c r="G12" s="62">
        <v>1673210.8</v>
      </c>
      <c r="H12" s="62"/>
      <c r="I12" s="18"/>
    </row>
    <row r="13" spans="1:9" x14ac:dyDescent="0.25">
      <c r="A13" s="61" t="s">
        <v>9</v>
      </c>
      <c r="B13" s="61"/>
      <c r="C13" s="61"/>
      <c r="D13" s="61"/>
      <c r="E13" s="61"/>
      <c r="F13" s="61"/>
      <c r="G13" s="62">
        <v>1563552.29</v>
      </c>
      <c r="H13" s="62"/>
      <c r="I13" s="18"/>
    </row>
    <row r="14" spans="1:9" x14ac:dyDescent="0.25">
      <c r="A14" s="55" t="s">
        <v>83</v>
      </c>
      <c r="B14" s="56"/>
      <c r="C14" s="56"/>
      <c r="D14" s="56"/>
      <c r="E14" s="56"/>
      <c r="F14" s="57"/>
      <c r="G14" s="58">
        <v>698855.58</v>
      </c>
      <c r="H14" s="59"/>
      <c r="I14" s="18"/>
    </row>
    <row r="15" spans="1:9" x14ac:dyDescent="0.25">
      <c r="A15" s="61" t="s">
        <v>10</v>
      </c>
      <c r="B15" s="61"/>
      <c r="C15" s="61"/>
      <c r="D15" s="61"/>
      <c r="E15" s="61"/>
      <c r="F15" s="61"/>
      <c r="G15" s="62">
        <v>-519232.35</v>
      </c>
      <c r="H15" s="62"/>
      <c r="I15" s="18"/>
    </row>
    <row r="16" spans="1:9" x14ac:dyDescent="0.25">
      <c r="A16" s="69" t="s">
        <v>11</v>
      </c>
      <c r="B16" s="69"/>
      <c r="C16" s="69"/>
      <c r="D16" s="69"/>
      <c r="E16" s="69"/>
      <c r="F16" s="69"/>
      <c r="G16" s="67">
        <f>SUM(G10:H15)</f>
        <v>6706130.1000000006</v>
      </c>
      <c r="H16" s="68"/>
      <c r="I16" s="18"/>
    </row>
    <row r="17" spans="1:10" x14ac:dyDescent="0.25">
      <c r="A17" s="69" t="s">
        <v>12</v>
      </c>
      <c r="B17" s="69"/>
      <c r="C17" s="69"/>
      <c r="D17" s="69"/>
      <c r="E17" s="69"/>
      <c r="F17" s="69"/>
      <c r="G17" s="77"/>
      <c r="H17" s="77"/>
      <c r="I17" s="18"/>
    </row>
    <row r="18" spans="1:10" x14ac:dyDescent="0.25">
      <c r="A18" s="61" t="s">
        <v>13</v>
      </c>
      <c r="B18" s="61"/>
      <c r="C18" s="61"/>
      <c r="D18" s="61"/>
      <c r="E18" s="61"/>
      <c r="F18" s="61"/>
      <c r="G18" s="62">
        <v>8702967.4700000007</v>
      </c>
      <c r="H18" s="62"/>
      <c r="I18" s="18"/>
      <c r="J18" s="18"/>
    </row>
    <row r="19" spans="1:10" x14ac:dyDescent="0.25">
      <c r="A19" s="61" t="s">
        <v>14</v>
      </c>
      <c r="B19" s="61"/>
      <c r="C19" s="61"/>
      <c r="D19" s="61"/>
      <c r="E19" s="61"/>
      <c r="F19" s="61"/>
      <c r="G19" s="62">
        <v>14497911.710000001</v>
      </c>
      <c r="H19" s="62"/>
      <c r="I19" s="18"/>
      <c r="J19" s="18"/>
    </row>
    <row r="20" spans="1:10" x14ac:dyDescent="0.25">
      <c r="A20" s="61" t="s">
        <v>15</v>
      </c>
      <c r="B20" s="61"/>
      <c r="C20" s="61"/>
      <c r="D20" s="61"/>
      <c r="E20" s="61"/>
      <c r="F20" s="61"/>
      <c r="G20" s="62">
        <v>127766.33</v>
      </c>
      <c r="H20" s="62"/>
      <c r="I20" s="18"/>
      <c r="J20" s="18"/>
    </row>
    <row r="21" spans="1:10" x14ac:dyDescent="0.25">
      <c r="A21" s="61" t="s">
        <v>16</v>
      </c>
      <c r="B21" s="61"/>
      <c r="C21" s="61"/>
      <c r="D21" s="61"/>
      <c r="E21" s="61"/>
      <c r="F21" s="61"/>
      <c r="G21" s="62">
        <v>4580.1400000000003</v>
      </c>
      <c r="H21" s="76"/>
      <c r="I21" s="18"/>
      <c r="J21" s="18"/>
    </row>
    <row r="22" spans="1:10" x14ac:dyDescent="0.25">
      <c r="A22" s="61" t="s">
        <v>17</v>
      </c>
      <c r="B22" s="61"/>
      <c r="C22" s="61"/>
      <c r="D22" s="61"/>
      <c r="E22" s="61"/>
      <c r="F22" s="61"/>
      <c r="G22" s="62">
        <v>2512098.42</v>
      </c>
      <c r="H22" s="62"/>
      <c r="I22" s="18"/>
      <c r="J22" s="18"/>
    </row>
    <row r="23" spans="1:10" x14ac:dyDescent="0.25">
      <c r="A23" s="66" t="s">
        <v>18</v>
      </c>
      <c r="B23" s="66"/>
      <c r="C23" s="66"/>
      <c r="D23" s="66"/>
      <c r="E23" s="66"/>
      <c r="F23" s="66"/>
      <c r="G23" s="67">
        <f>SUM(G18:H22)</f>
        <v>25845324.07</v>
      </c>
      <c r="H23" s="68"/>
      <c r="I23" s="18"/>
      <c r="J23" s="18"/>
    </row>
    <row r="24" spans="1:10" x14ac:dyDescent="0.25">
      <c r="A24" s="69" t="s">
        <v>19</v>
      </c>
      <c r="B24" s="69"/>
      <c r="C24" s="69"/>
      <c r="D24" s="69"/>
      <c r="E24" s="69"/>
      <c r="F24" s="69"/>
      <c r="G24" s="67">
        <f>SUM(G23+G16)</f>
        <v>32551454.170000002</v>
      </c>
      <c r="H24" s="67"/>
      <c r="I24" s="18"/>
    </row>
    <row r="25" spans="1:10" ht="8.25" customHeight="1" x14ac:dyDescent="0.25">
      <c r="A25" s="80" t="s">
        <v>20</v>
      </c>
      <c r="B25" s="81"/>
      <c r="C25" s="81"/>
      <c r="D25" s="81"/>
      <c r="E25" s="81"/>
      <c r="F25" s="81"/>
      <c r="G25" s="81"/>
      <c r="H25" s="81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</row>
    <row r="27" spans="1:10" x14ac:dyDescent="0.25">
      <c r="A27" s="83"/>
      <c r="B27" s="85" t="s">
        <v>21</v>
      </c>
      <c r="C27" s="83" t="s">
        <v>22</v>
      </c>
      <c r="D27" s="87"/>
      <c r="E27" s="87"/>
      <c r="F27" s="87"/>
      <c r="G27" s="88"/>
      <c r="H27" s="92" t="s">
        <v>23</v>
      </c>
    </row>
    <row r="28" spans="1:10" ht="15.75" thickBot="1" x14ac:dyDescent="0.3">
      <c r="A28" s="84"/>
      <c r="B28" s="86"/>
      <c r="C28" s="89"/>
      <c r="D28" s="90"/>
      <c r="E28" s="90"/>
      <c r="F28" s="90"/>
      <c r="G28" s="91"/>
      <c r="H28" s="93"/>
    </row>
    <row r="29" spans="1:10" x14ac:dyDescent="0.25">
      <c r="A29" s="23" t="s">
        <v>24</v>
      </c>
      <c r="B29" s="50" t="s">
        <v>96</v>
      </c>
      <c r="C29" s="94" t="s">
        <v>95</v>
      </c>
      <c r="D29" s="94"/>
      <c r="E29" s="94"/>
      <c r="F29" s="94"/>
      <c r="G29" s="94"/>
      <c r="H29" s="46">
        <f>G24*29%</f>
        <v>9439921.7093000002</v>
      </c>
    </row>
    <row r="30" spans="1:10" x14ac:dyDescent="0.25">
      <c r="A30" s="23" t="s">
        <v>25</v>
      </c>
      <c r="B30" s="23" t="s">
        <v>158</v>
      </c>
      <c r="C30" s="60" t="s">
        <v>157</v>
      </c>
      <c r="D30" s="60"/>
      <c r="E30" s="60"/>
      <c r="F30" s="60"/>
      <c r="G30" s="60"/>
      <c r="H30" s="47">
        <v>5665139.2300000004</v>
      </c>
    </row>
    <row r="31" spans="1:10" ht="15" customHeight="1" x14ac:dyDescent="0.25">
      <c r="A31" s="23" t="s">
        <v>26</v>
      </c>
      <c r="B31" s="23" t="s">
        <v>99</v>
      </c>
      <c r="C31" s="60" t="s">
        <v>28</v>
      </c>
      <c r="D31" s="60"/>
      <c r="E31" s="60"/>
      <c r="F31" s="60"/>
      <c r="G31" s="60"/>
      <c r="H31" s="47">
        <v>630748.54</v>
      </c>
    </row>
    <row r="32" spans="1:10" ht="15" customHeight="1" x14ac:dyDescent="0.25">
      <c r="A32" s="23" t="s">
        <v>79</v>
      </c>
      <c r="B32" s="23" t="s">
        <v>100</v>
      </c>
      <c r="C32" s="60" t="s">
        <v>40</v>
      </c>
      <c r="D32" s="60"/>
      <c r="E32" s="60"/>
      <c r="F32" s="60"/>
      <c r="G32" s="60"/>
      <c r="H32" s="47">
        <v>138384.42000000001</v>
      </c>
    </row>
    <row r="33" spans="1:8" ht="15" customHeight="1" x14ac:dyDescent="0.25">
      <c r="A33" s="23" t="s">
        <v>27</v>
      </c>
      <c r="B33" s="23" t="s">
        <v>101</v>
      </c>
      <c r="C33" s="60" t="s">
        <v>36</v>
      </c>
      <c r="D33" s="60"/>
      <c r="E33" s="60"/>
      <c r="F33" s="60"/>
      <c r="G33" s="60"/>
      <c r="H33" s="47">
        <v>87840.320000000007</v>
      </c>
    </row>
    <row r="34" spans="1:8" ht="15" customHeight="1" x14ac:dyDescent="0.25">
      <c r="A34" s="23" t="s">
        <v>29</v>
      </c>
      <c r="B34" s="23" t="s">
        <v>102</v>
      </c>
      <c r="C34" s="60" t="s">
        <v>120</v>
      </c>
      <c r="D34" s="60"/>
      <c r="E34" s="60"/>
      <c r="F34" s="60"/>
      <c r="G34" s="60"/>
      <c r="H34" s="47">
        <v>259963.74</v>
      </c>
    </row>
    <row r="35" spans="1:8" ht="15" customHeight="1" x14ac:dyDescent="0.25">
      <c r="A35" s="23" t="s">
        <v>30</v>
      </c>
      <c r="B35" s="23" t="s">
        <v>103</v>
      </c>
      <c r="C35" s="60" t="s">
        <v>32</v>
      </c>
      <c r="D35" s="60"/>
      <c r="E35" s="60"/>
      <c r="F35" s="60"/>
      <c r="G35" s="60"/>
      <c r="H35" s="47">
        <v>151419.84</v>
      </c>
    </row>
    <row r="36" spans="1:8" x14ac:dyDescent="0.25">
      <c r="A36" s="23" t="s">
        <v>31</v>
      </c>
      <c r="B36" s="24" t="s">
        <v>104</v>
      </c>
      <c r="C36" s="63" t="s">
        <v>107</v>
      </c>
      <c r="D36" s="64"/>
      <c r="E36" s="64"/>
      <c r="F36" s="64"/>
      <c r="G36" s="65"/>
      <c r="H36" s="47">
        <v>0</v>
      </c>
    </row>
    <row r="37" spans="1:8" x14ac:dyDescent="0.25">
      <c r="A37" s="23" t="s">
        <v>85</v>
      </c>
      <c r="B37" s="24" t="s">
        <v>105</v>
      </c>
      <c r="C37" s="60" t="s">
        <v>108</v>
      </c>
      <c r="D37" s="60"/>
      <c r="E37" s="60"/>
      <c r="F37" s="60"/>
      <c r="G37" s="60"/>
      <c r="H37" s="47">
        <v>0</v>
      </c>
    </row>
    <row r="38" spans="1:8" x14ac:dyDescent="0.25">
      <c r="A38" s="23" t="s">
        <v>33</v>
      </c>
      <c r="B38" s="24" t="s">
        <v>106</v>
      </c>
      <c r="C38" s="60" t="s">
        <v>109</v>
      </c>
      <c r="D38" s="60"/>
      <c r="E38" s="60"/>
      <c r="F38" s="60"/>
      <c r="G38" s="60"/>
      <c r="H38" s="47">
        <v>0</v>
      </c>
    </row>
    <row r="39" spans="1:8" x14ac:dyDescent="0.25">
      <c r="A39" s="23" t="s">
        <v>34</v>
      </c>
      <c r="B39" s="23" t="s">
        <v>133</v>
      </c>
      <c r="C39" s="60" t="s">
        <v>138</v>
      </c>
      <c r="D39" s="60"/>
      <c r="E39" s="60"/>
      <c r="F39" s="60"/>
      <c r="G39" s="60"/>
      <c r="H39" s="47">
        <v>8.01</v>
      </c>
    </row>
    <row r="40" spans="1:8" x14ac:dyDescent="0.25">
      <c r="A40" s="23" t="s">
        <v>35</v>
      </c>
      <c r="B40" s="23" t="s">
        <v>134</v>
      </c>
      <c r="C40" s="60" t="s">
        <v>139</v>
      </c>
      <c r="D40" s="60"/>
      <c r="E40" s="60"/>
      <c r="F40" s="60"/>
      <c r="G40" s="60"/>
      <c r="H40" s="47">
        <v>3614.79</v>
      </c>
    </row>
    <row r="41" spans="1:8" ht="18" customHeight="1" x14ac:dyDescent="0.25">
      <c r="A41" s="23" t="s">
        <v>37</v>
      </c>
      <c r="B41" s="23" t="s">
        <v>135</v>
      </c>
      <c r="C41" s="60" t="s">
        <v>140</v>
      </c>
      <c r="D41" s="60"/>
      <c r="E41" s="60"/>
      <c r="F41" s="60"/>
      <c r="G41" s="60"/>
      <c r="H41" s="47">
        <v>0</v>
      </c>
    </row>
    <row r="42" spans="1:8" x14ac:dyDescent="0.25">
      <c r="A42" s="23" t="s">
        <v>38</v>
      </c>
      <c r="B42" s="23" t="s">
        <v>136</v>
      </c>
      <c r="C42" s="60" t="s">
        <v>141</v>
      </c>
      <c r="D42" s="60"/>
      <c r="E42" s="60"/>
      <c r="F42" s="60"/>
      <c r="G42" s="60"/>
      <c r="H42" s="47">
        <v>2112.89</v>
      </c>
    </row>
    <row r="43" spans="1:8" ht="15" customHeight="1" thickBot="1" x14ac:dyDescent="0.3">
      <c r="A43" s="23" t="s">
        <v>39</v>
      </c>
      <c r="B43" s="48" t="s">
        <v>137</v>
      </c>
      <c r="C43" s="102" t="s">
        <v>142</v>
      </c>
      <c r="D43" s="103"/>
      <c r="E43" s="103"/>
      <c r="F43" s="103"/>
      <c r="G43" s="104"/>
      <c r="H43" s="51">
        <v>1696.93</v>
      </c>
    </row>
    <row r="44" spans="1:8" ht="15" customHeight="1" x14ac:dyDescent="0.25">
      <c r="A44" s="23" t="s">
        <v>86</v>
      </c>
      <c r="B44" s="45" t="s">
        <v>110</v>
      </c>
      <c r="C44" s="94" t="s">
        <v>111</v>
      </c>
      <c r="D44" s="94"/>
      <c r="E44" s="94"/>
      <c r="F44" s="94"/>
      <c r="G44" s="94"/>
      <c r="H44" s="46">
        <v>109787.4</v>
      </c>
    </row>
    <row r="45" spans="1:8" ht="15" customHeight="1" x14ac:dyDescent="0.25">
      <c r="A45" s="23" t="s">
        <v>41</v>
      </c>
      <c r="B45" s="23" t="s">
        <v>112</v>
      </c>
      <c r="C45" s="60" t="s">
        <v>113</v>
      </c>
      <c r="D45" s="60"/>
      <c r="E45" s="60"/>
      <c r="F45" s="60"/>
      <c r="G45" s="60"/>
      <c r="H45" s="47">
        <v>419896.33</v>
      </c>
    </row>
    <row r="46" spans="1:8" ht="15" customHeight="1" x14ac:dyDescent="0.25">
      <c r="A46" s="23" t="s">
        <v>87</v>
      </c>
      <c r="B46" s="23" t="s">
        <v>114</v>
      </c>
      <c r="C46" s="60" t="s">
        <v>115</v>
      </c>
      <c r="D46" s="60"/>
      <c r="E46" s="60"/>
      <c r="F46" s="60"/>
      <c r="G46" s="60"/>
      <c r="H46" s="47">
        <v>347.84</v>
      </c>
    </row>
    <row r="47" spans="1:8" ht="15" customHeight="1" x14ac:dyDescent="0.25">
      <c r="A47" s="23" t="s">
        <v>143</v>
      </c>
      <c r="B47" s="23" t="s">
        <v>116</v>
      </c>
      <c r="C47" s="60" t="s">
        <v>117</v>
      </c>
      <c r="D47" s="60"/>
      <c r="E47" s="60"/>
      <c r="F47" s="60"/>
      <c r="G47" s="60"/>
      <c r="H47" s="47">
        <v>52710.559999999998</v>
      </c>
    </row>
    <row r="48" spans="1:8" ht="15" customHeight="1" x14ac:dyDescent="0.25">
      <c r="A48" s="23" t="s">
        <v>144</v>
      </c>
      <c r="B48" s="23" t="s">
        <v>118</v>
      </c>
      <c r="C48" s="60" t="s">
        <v>121</v>
      </c>
      <c r="D48" s="60"/>
      <c r="E48" s="60"/>
      <c r="F48" s="60"/>
      <c r="G48" s="60"/>
      <c r="H48" s="47">
        <v>67797.33</v>
      </c>
    </row>
    <row r="49" spans="1:16" ht="15" customHeight="1" x14ac:dyDescent="0.25">
      <c r="A49" s="23" t="s">
        <v>145</v>
      </c>
      <c r="B49" s="23" t="s">
        <v>119</v>
      </c>
      <c r="C49" s="60" t="s">
        <v>122</v>
      </c>
      <c r="D49" s="60"/>
      <c r="E49" s="60"/>
      <c r="F49" s="60"/>
      <c r="G49" s="60"/>
      <c r="H49" s="47">
        <v>72487.100000000006</v>
      </c>
    </row>
    <row r="50" spans="1:16" ht="15" customHeight="1" x14ac:dyDescent="0.25">
      <c r="A50" s="23" t="s">
        <v>146</v>
      </c>
      <c r="B50" s="23" t="s">
        <v>128</v>
      </c>
      <c r="C50" s="60" t="s">
        <v>123</v>
      </c>
      <c r="D50" s="60"/>
      <c r="E50" s="60"/>
      <c r="F50" s="60"/>
      <c r="G50" s="60"/>
      <c r="H50" s="47">
        <v>114.59</v>
      </c>
    </row>
    <row r="51" spans="1:16" ht="15" customHeight="1" x14ac:dyDescent="0.25">
      <c r="A51" s="23" t="s">
        <v>147</v>
      </c>
      <c r="B51" s="23" t="s">
        <v>129</v>
      </c>
      <c r="C51" s="60" t="s">
        <v>124</v>
      </c>
      <c r="D51" s="60"/>
      <c r="E51" s="60"/>
      <c r="F51" s="60"/>
      <c r="G51" s="60"/>
      <c r="H51" s="47">
        <v>34763.86</v>
      </c>
    </row>
    <row r="52" spans="1:16" ht="15" customHeight="1" x14ac:dyDescent="0.25">
      <c r="A52" s="23" t="s">
        <v>148</v>
      </c>
      <c r="B52" s="23" t="s">
        <v>130</v>
      </c>
      <c r="C52" s="60" t="s">
        <v>125</v>
      </c>
      <c r="D52" s="60"/>
      <c r="E52" s="60"/>
      <c r="F52" s="60"/>
      <c r="G52" s="60"/>
      <c r="H52" s="47">
        <v>8674.93</v>
      </c>
    </row>
    <row r="53" spans="1:16" ht="15" customHeight="1" x14ac:dyDescent="0.25">
      <c r="A53" s="23" t="s">
        <v>149</v>
      </c>
      <c r="B53" s="23" t="s">
        <v>131</v>
      </c>
      <c r="C53" s="60" t="s">
        <v>126</v>
      </c>
      <c r="D53" s="60"/>
      <c r="E53" s="60"/>
      <c r="F53" s="60"/>
      <c r="G53" s="60"/>
      <c r="H53" s="47">
        <v>14935.1</v>
      </c>
    </row>
    <row r="54" spans="1:16" ht="15" customHeight="1" thickBot="1" x14ac:dyDescent="0.3">
      <c r="A54" s="23" t="s">
        <v>150</v>
      </c>
      <c r="B54" s="48" t="s">
        <v>127</v>
      </c>
      <c r="C54" s="102" t="s">
        <v>132</v>
      </c>
      <c r="D54" s="103"/>
      <c r="E54" s="103"/>
      <c r="F54" s="103"/>
      <c r="G54" s="104"/>
      <c r="H54" s="49">
        <v>24280.37</v>
      </c>
      <c r="P54" s="11"/>
    </row>
    <row r="55" spans="1:16" x14ac:dyDescent="0.25">
      <c r="A55" s="98" t="s">
        <v>42</v>
      </c>
      <c r="B55" s="99"/>
      <c r="C55" s="99"/>
      <c r="D55" s="99"/>
      <c r="E55" s="99"/>
      <c r="F55" s="99"/>
      <c r="G55" s="100"/>
      <c r="H55" s="44">
        <f>SUM(H29:H54)</f>
        <v>17186645.829299998</v>
      </c>
    </row>
    <row r="56" spans="1:16" x14ac:dyDescent="0.25">
      <c r="A56" s="74" t="s">
        <v>43</v>
      </c>
      <c r="B56" s="74"/>
      <c r="C56" s="74"/>
      <c r="D56" s="74"/>
      <c r="E56" s="74"/>
      <c r="F56" s="74"/>
      <c r="G56" s="74"/>
      <c r="H56" s="74"/>
    </row>
    <row r="57" spans="1:16" ht="38.25" customHeight="1" x14ac:dyDescent="0.25">
      <c r="A57" s="5"/>
      <c r="B57" s="52" t="s">
        <v>44</v>
      </c>
      <c r="C57" s="6" t="s">
        <v>45</v>
      </c>
      <c r="D57" s="101" t="s">
        <v>46</v>
      </c>
      <c r="E57" s="101"/>
      <c r="F57" s="7" t="s">
        <v>47</v>
      </c>
      <c r="G57" s="10" t="s">
        <v>80</v>
      </c>
      <c r="H57" s="8" t="s">
        <v>48</v>
      </c>
    </row>
    <row r="58" spans="1:16" ht="15" customHeight="1" x14ac:dyDescent="0.25">
      <c r="A58" s="12" t="s">
        <v>49</v>
      </c>
      <c r="B58" s="43" t="s">
        <v>96</v>
      </c>
      <c r="C58" s="13"/>
      <c r="D58" s="95" t="s">
        <v>51</v>
      </c>
      <c r="E58" s="95"/>
      <c r="F58" s="21">
        <f>G23*20%</f>
        <v>5169064.8140000002</v>
      </c>
      <c r="G58" s="22">
        <v>5169482.5999999996</v>
      </c>
      <c r="H58" s="14">
        <f t="shared" ref="H58:H90" si="0">G58-F58</f>
        <v>417.7859999993816</v>
      </c>
    </row>
    <row r="59" spans="1:16" x14ac:dyDescent="0.25">
      <c r="A59" s="23" t="s">
        <v>50</v>
      </c>
      <c r="B59" s="43" t="s">
        <v>96</v>
      </c>
      <c r="C59" s="13">
        <v>361</v>
      </c>
      <c r="D59" s="95" t="s">
        <v>163</v>
      </c>
      <c r="E59" s="95"/>
      <c r="F59" s="21">
        <f>(H29-F58)*56%</f>
        <v>2391679.861368</v>
      </c>
      <c r="G59" s="22">
        <v>2471067.0299999998</v>
      </c>
      <c r="H59" s="14">
        <f t="shared" si="0"/>
        <v>79387.168631999753</v>
      </c>
    </row>
    <row r="60" spans="1:16" x14ac:dyDescent="0.25">
      <c r="A60" s="23" t="s">
        <v>52</v>
      </c>
      <c r="B60" s="43" t="s">
        <v>96</v>
      </c>
      <c r="C60" s="13">
        <v>365</v>
      </c>
      <c r="D60" s="95" t="s">
        <v>164</v>
      </c>
      <c r="E60" s="95"/>
      <c r="F60" s="21">
        <f>(H29-F58)*43%</f>
        <v>1836468.4649789999</v>
      </c>
      <c r="G60" s="22">
        <v>1640341.28</v>
      </c>
      <c r="H60" s="14">
        <f t="shared" si="0"/>
        <v>-196127.1849789999</v>
      </c>
    </row>
    <row r="61" spans="1:16" ht="24" customHeight="1" x14ac:dyDescent="0.25">
      <c r="A61" s="23" t="s">
        <v>53</v>
      </c>
      <c r="B61" s="43" t="s">
        <v>96</v>
      </c>
      <c r="C61" s="13">
        <v>366</v>
      </c>
      <c r="D61" s="78" t="s">
        <v>88</v>
      </c>
      <c r="E61" s="79"/>
      <c r="F61" s="21">
        <f>H29-F58-F59-F60</f>
        <v>42708.568953000009</v>
      </c>
      <c r="G61" s="22">
        <v>13696</v>
      </c>
      <c r="H61" s="14">
        <f t="shared" si="0"/>
        <v>-29012.568953000009</v>
      </c>
    </row>
    <row r="62" spans="1:16" x14ac:dyDescent="0.25">
      <c r="A62" s="23" t="s">
        <v>54</v>
      </c>
      <c r="B62" s="23" t="s">
        <v>97</v>
      </c>
      <c r="C62" s="13">
        <v>361</v>
      </c>
      <c r="D62" s="95" t="s">
        <v>165</v>
      </c>
      <c r="E62" s="95"/>
      <c r="F62" s="21">
        <f>H30*43%</f>
        <v>2436009.8689000001</v>
      </c>
      <c r="G62" s="22">
        <v>2338531.61</v>
      </c>
      <c r="H62" s="14">
        <f t="shared" si="0"/>
        <v>-97478.258900000248</v>
      </c>
    </row>
    <row r="63" spans="1:16" x14ac:dyDescent="0.25">
      <c r="A63" s="23" t="s">
        <v>55</v>
      </c>
      <c r="B63" s="23" t="s">
        <v>97</v>
      </c>
      <c r="C63" s="13">
        <v>365</v>
      </c>
      <c r="D63" s="96" t="s">
        <v>166</v>
      </c>
      <c r="E63" s="97"/>
      <c r="F63" s="21">
        <f>H30*45%</f>
        <v>2549312.6535000005</v>
      </c>
      <c r="G63" s="22">
        <v>2787687.13</v>
      </c>
      <c r="H63" s="14">
        <f t="shared" si="0"/>
        <v>238374.47649999941</v>
      </c>
    </row>
    <row r="64" spans="1:16" x14ac:dyDescent="0.25">
      <c r="A64" s="23" t="s">
        <v>56</v>
      </c>
      <c r="B64" s="23" t="s">
        <v>98</v>
      </c>
      <c r="C64" s="13">
        <v>361</v>
      </c>
      <c r="D64" s="78" t="s">
        <v>167</v>
      </c>
      <c r="E64" s="79"/>
      <c r="F64" s="21">
        <f>H30*6%</f>
        <v>339908.35380000004</v>
      </c>
      <c r="G64" s="22">
        <v>257284.82</v>
      </c>
      <c r="H64" s="14">
        <f t="shared" si="0"/>
        <v>-82623.533800000034</v>
      </c>
    </row>
    <row r="65" spans="1:8" x14ac:dyDescent="0.25">
      <c r="A65" s="23" t="s">
        <v>57</v>
      </c>
      <c r="B65" s="23" t="s">
        <v>98</v>
      </c>
      <c r="C65" s="13">
        <v>365</v>
      </c>
      <c r="D65" s="78" t="s">
        <v>168</v>
      </c>
      <c r="E65" s="79"/>
      <c r="F65" s="21">
        <f>H30*6%</f>
        <v>339908.35380000004</v>
      </c>
      <c r="G65" s="22">
        <v>261379.07</v>
      </c>
      <c r="H65" s="14">
        <f t="shared" si="0"/>
        <v>-78529.283800000034</v>
      </c>
    </row>
    <row r="66" spans="1:8" ht="15" customHeight="1" x14ac:dyDescent="0.25">
      <c r="A66" s="23" t="s">
        <v>58</v>
      </c>
      <c r="B66" s="20" t="str">
        <f>B31</f>
        <v>0.01.0550.7000</v>
      </c>
      <c r="C66" s="13">
        <v>361</v>
      </c>
      <c r="D66" s="53" t="str">
        <f>C31</f>
        <v>Cota-Parte do Salário Educação</v>
      </c>
      <c r="E66" s="54"/>
      <c r="F66" s="21">
        <f>H31</f>
        <v>630748.54</v>
      </c>
      <c r="G66" s="22">
        <v>429362.94</v>
      </c>
      <c r="H66" s="14">
        <f t="shared" si="0"/>
        <v>-201385.60000000003</v>
      </c>
    </row>
    <row r="67" spans="1:8" ht="15" customHeight="1" x14ac:dyDescent="0.25">
      <c r="A67" s="23" t="s">
        <v>59</v>
      </c>
      <c r="B67" s="23" t="str">
        <f t="shared" ref="B67:B88" si="1">B32</f>
        <v>0.01.0552.7000</v>
      </c>
      <c r="C67" s="13">
        <v>306</v>
      </c>
      <c r="D67" s="53" t="str">
        <f t="shared" ref="D67:D89" si="2">C32</f>
        <v>Transferências Diretas do FNDE - PNAE</v>
      </c>
      <c r="E67" s="54"/>
      <c r="F67" s="21">
        <f t="shared" ref="F67:F89" si="3">H32</f>
        <v>138384.42000000001</v>
      </c>
      <c r="G67" s="22">
        <v>108422.7</v>
      </c>
      <c r="H67" s="14">
        <f t="shared" si="0"/>
        <v>-29961.720000000016</v>
      </c>
    </row>
    <row r="68" spans="1:8" ht="22.5" customHeight="1" x14ac:dyDescent="0.25">
      <c r="A68" s="23" t="s">
        <v>60</v>
      </c>
      <c r="B68" s="23" t="str">
        <f t="shared" si="1"/>
        <v>0.01.0553.7000</v>
      </c>
      <c r="C68" s="13">
        <v>361</v>
      </c>
      <c r="D68" s="53" t="str">
        <f t="shared" si="2"/>
        <v>Transferências Diretas do FNDE - PNATE</v>
      </c>
      <c r="E68" s="54"/>
      <c r="F68" s="21">
        <f t="shared" si="3"/>
        <v>87840.320000000007</v>
      </c>
      <c r="G68" s="22">
        <v>50000</v>
      </c>
      <c r="H68" s="14">
        <f t="shared" si="0"/>
        <v>-37840.320000000007</v>
      </c>
    </row>
    <row r="69" spans="1:8" x14ac:dyDescent="0.25">
      <c r="A69" s="23" t="s">
        <v>61</v>
      </c>
      <c r="B69" s="23" t="str">
        <f t="shared" si="1"/>
        <v>0.01.0571.70005</v>
      </c>
      <c r="C69" s="13">
        <v>361</v>
      </c>
      <c r="D69" s="53" t="str">
        <f t="shared" si="2"/>
        <v>Convênio Transporte Escolar Estadual - Ensino Fundamental</v>
      </c>
      <c r="E69" s="54"/>
      <c r="F69" s="21">
        <f t="shared" si="3"/>
        <v>259963.74</v>
      </c>
      <c r="G69" s="22">
        <v>282754.09000000003</v>
      </c>
      <c r="H69" s="14">
        <f t="shared" si="0"/>
        <v>22790.350000000035</v>
      </c>
    </row>
    <row r="70" spans="1:8" x14ac:dyDescent="0.25">
      <c r="A70" s="23" t="s">
        <v>82</v>
      </c>
      <c r="B70" s="23" t="str">
        <f t="shared" si="1"/>
        <v>0.01.0571.70006</v>
      </c>
      <c r="C70" s="13">
        <v>362</v>
      </c>
      <c r="D70" s="53" t="str">
        <f t="shared" si="2"/>
        <v xml:space="preserve">Convênio Transporte Escolar Estadual - Ensino Médio </v>
      </c>
      <c r="E70" s="54"/>
      <c r="F70" s="21">
        <f t="shared" si="3"/>
        <v>151419.84</v>
      </c>
      <c r="G70" s="22">
        <v>93200.54</v>
      </c>
      <c r="H70" s="14">
        <f t="shared" si="0"/>
        <v>-58219.3</v>
      </c>
    </row>
    <row r="71" spans="1:8" x14ac:dyDescent="0.25">
      <c r="A71" s="23" t="s">
        <v>62</v>
      </c>
      <c r="B71" s="23" t="str">
        <f t="shared" si="1"/>
        <v>0.01.0570.700012</v>
      </c>
      <c r="C71" s="15">
        <v>361</v>
      </c>
      <c r="D71" s="53" t="str">
        <f t="shared" si="2"/>
        <v>Convênio MEC – Aquisição de Ônibus Escolar</v>
      </c>
      <c r="E71" s="54"/>
      <c r="F71" s="21">
        <f t="shared" si="3"/>
        <v>0</v>
      </c>
      <c r="G71" s="22">
        <v>0</v>
      </c>
      <c r="H71" s="14">
        <f t="shared" si="0"/>
        <v>0</v>
      </c>
    </row>
    <row r="72" spans="1:8" x14ac:dyDescent="0.25">
      <c r="A72" s="23" t="s">
        <v>63</v>
      </c>
      <c r="B72" s="23" t="str">
        <f t="shared" si="1"/>
        <v>0.01.0570.700071</v>
      </c>
      <c r="C72" s="15">
        <v>365</v>
      </c>
      <c r="D72" s="53" t="str">
        <f t="shared" si="2"/>
        <v>Convênio MEC – Ampliação Rede Ensino Infantil</v>
      </c>
      <c r="E72" s="54"/>
      <c r="F72" s="21">
        <f t="shared" si="3"/>
        <v>0</v>
      </c>
      <c r="G72" s="22">
        <v>0</v>
      </c>
      <c r="H72" s="14">
        <f t="shared" si="0"/>
        <v>0</v>
      </c>
    </row>
    <row r="73" spans="1:8" ht="15" customHeight="1" x14ac:dyDescent="0.25">
      <c r="A73" s="23" t="s">
        <v>64</v>
      </c>
      <c r="B73" s="23" t="str">
        <f t="shared" si="1"/>
        <v>0.01.0570.700010</v>
      </c>
      <c r="C73" s="15">
        <v>361</v>
      </c>
      <c r="D73" s="53" t="str">
        <f t="shared" si="2"/>
        <v>Convênio MEC – Ampliação Rede Ensino Fundamental</v>
      </c>
      <c r="E73" s="54"/>
      <c r="F73" s="21">
        <f t="shared" si="3"/>
        <v>0</v>
      </c>
      <c r="G73" s="22">
        <v>0</v>
      </c>
      <c r="H73" s="14">
        <f t="shared" si="0"/>
        <v>0</v>
      </c>
    </row>
    <row r="74" spans="1:8" ht="15" customHeight="1" x14ac:dyDescent="0.25">
      <c r="A74" s="23" t="s">
        <v>65</v>
      </c>
      <c r="B74" s="23" t="str">
        <f t="shared" si="1"/>
        <v>0.01.0571.7000213</v>
      </c>
      <c r="C74" s="13">
        <v>361</v>
      </c>
      <c r="D74" s="53" t="str">
        <f t="shared" si="2"/>
        <v>Convênio  - Transf. Especial - Quadra Dom Afonso</v>
      </c>
      <c r="E74" s="54"/>
      <c r="F74" s="21">
        <f t="shared" si="3"/>
        <v>8.01</v>
      </c>
      <c r="G74" s="22">
        <v>0</v>
      </c>
      <c r="H74" s="14">
        <f t="shared" si="0"/>
        <v>-8.01</v>
      </c>
    </row>
    <row r="75" spans="1:8" ht="15" customHeight="1" x14ac:dyDescent="0.25">
      <c r="A75" s="23" t="s">
        <v>66</v>
      </c>
      <c r="B75" s="23" t="str">
        <f t="shared" si="1"/>
        <v>0.01.0571.7000215</v>
      </c>
      <c r="C75" s="13">
        <v>365</v>
      </c>
      <c r="D75" s="53" t="str">
        <f t="shared" si="2"/>
        <v>Convênio  - Transf. Especial - Reforma Xenia</v>
      </c>
      <c r="E75" s="54"/>
      <c r="F75" s="21">
        <f t="shared" si="3"/>
        <v>3614.79</v>
      </c>
      <c r="G75" s="22">
        <v>0</v>
      </c>
      <c r="H75" s="14">
        <f t="shared" si="0"/>
        <v>-3614.79</v>
      </c>
    </row>
    <row r="76" spans="1:8" ht="15" customHeight="1" x14ac:dyDescent="0.25">
      <c r="A76" s="23" t="s">
        <v>67</v>
      </c>
      <c r="B76" s="23" t="str">
        <f t="shared" si="1"/>
        <v>0.01.0571.7000216</v>
      </c>
      <c r="C76" s="13">
        <v>361</v>
      </c>
      <c r="D76" s="53" t="str">
        <f t="shared" si="2"/>
        <v>Convênio  - Transf. Especial - Aquisição Onibus</v>
      </c>
      <c r="E76" s="54"/>
      <c r="F76" s="21">
        <f t="shared" si="3"/>
        <v>0</v>
      </c>
      <c r="G76" s="22">
        <v>0</v>
      </c>
      <c r="H76" s="14">
        <f t="shared" si="0"/>
        <v>0</v>
      </c>
    </row>
    <row r="77" spans="1:8" ht="15" customHeight="1" x14ac:dyDescent="0.25">
      <c r="A77" s="23" t="s">
        <v>151</v>
      </c>
      <c r="B77" s="23" t="str">
        <f t="shared" si="1"/>
        <v>0.01.0571.7000218</v>
      </c>
      <c r="C77" s="13">
        <v>361</v>
      </c>
      <c r="D77" s="53" t="str">
        <f t="shared" si="2"/>
        <v>Convênio  - Transf. Especial - Ampliação Dom Afonso</v>
      </c>
      <c r="E77" s="54"/>
      <c r="F77" s="21">
        <f t="shared" si="3"/>
        <v>2112.89</v>
      </c>
      <c r="G77" s="22">
        <v>0</v>
      </c>
      <c r="H77" s="14">
        <f t="shared" si="0"/>
        <v>-2112.89</v>
      </c>
    </row>
    <row r="78" spans="1:8" ht="15" customHeight="1" x14ac:dyDescent="0.25">
      <c r="A78" s="23" t="s">
        <v>68</v>
      </c>
      <c r="B78" s="23" t="str">
        <f t="shared" si="1"/>
        <v>0.01.0710.3210188</v>
      </c>
      <c r="C78" s="13">
        <v>361</v>
      </c>
      <c r="D78" s="53" t="str">
        <f t="shared" si="2"/>
        <v>Emenda Impositva - Educação</v>
      </c>
      <c r="E78" s="54"/>
      <c r="F78" s="21">
        <f t="shared" si="3"/>
        <v>1696.93</v>
      </c>
      <c r="G78" s="22">
        <v>0</v>
      </c>
      <c r="H78" s="14">
        <f t="shared" si="0"/>
        <v>-1696.93</v>
      </c>
    </row>
    <row r="79" spans="1:8" ht="15" customHeight="1" x14ac:dyDescent="0.25">
      <c r="A79" s="23" t="s">
        <v>152</v>
      </c>
      <c r="B79" s="23" t="str">
        <f t="shared" si="1"/>
        <v>0.02.0540.1070</v>
      </c>
      <c r="C79" s="13">
        <v>361</v>
      </c>
      <c r="D79" s="53" t="str">
        <f t="shared" si="2"/>
        <v>Superávit Transferências do FUNDEB – Parte do 70%</v>
      </c>
      <c r="E79" s="54"/>
      <c r="F79" s="21">
        <f t="shared" si="3"/>
        <v>109787.4</v>
      </c>
      <c r="G79" s="22">
        <v>109787.4</v>
      </c>
      <c r="H79" s="14">
        <f t="shared" si="0"/>
        <v>0</v>
      </c>
    </row>
    <row r="80" spans="1:8" ht="15" customHeight="1" x14ac:dyDescent="0.25">
      <c r="A80" s="23" t="s">
        <v>153</v>
      </c>
      <c r="B80" s="23" t="str">
        <f t="shared" si="1"/>
        <v>0.02.0550.7000</v>
      </c>
      <c r="C80" s="13" t="s">
        <v>81</v>
      </c>
      <c r="D80" s="53" t="str">
        <f t="shared" si="2"/>
        <v>Superávit Cota-Parte do Salário Educação</v>
      </c>
      <c r="E80" s="54"/>
      <c r="F80" s="21">
        <f t="shared" si="3"/>
        <v>419896.33</v>
      </c>
      <c r="G80" s="22">
        <v>76020.52</v>
      </c>
      <c r="H80" s="14">
        <f t="shared" si="0"/>
        <v>-343875.81</v>
      </c>
    </row>
    <row r="81" spans="1:11" ht="15" customHeight="1" x14ac:dyDescent="0.25">
      <c r="A81" s="23" t="s">
        <v>69</v>
      </c>
      <c r="B81" s="23" t="str">
        <f t="shared" si="1"/>
        <v>0.02.0552.7000</v>
      </c>
      <c r="C81" s="13">
        <v>306</v>
      </c>
      <c r="D81" s="53" t="str">
        <f t="shared" si="2"/>
        <v>Superávit PNAE</v>
      </c>
      <c r="E81" s="54"/>
      <c r="F81" s="21">
        <f t="shared" si="3"/>
        <v>347.84</v>
      </c>
      <c r="G81" s="22">
        <v>0</v>
      </c>
      <c r="H81" s="14">
        <f t="shared" si="0"/>
        <v>-347.84</v>
      </c>
    </row>
    <row r="82" spans="1:11" ht="15" customHeight="1" x14ac:dyDescent="0.25">
      <c r="A82" s="23" t="s">
        <v>154</v>
      </c>
      <c r="B82" s="23" t="str">
        <f t="shared" si="1"/>
        <v>0.02.0553.7000</v>
      </c>
      <c r="C82" s="13">
        <v>361</v>
      </c>
      <c r="D82" s="53" t="str">
        <f t="shared" si="2"/>
        <v>Superávit PNATE</v>
      </c>
      <c r="E82" s="54"/>
      <c r="F82" s="21">
        <f t="shared" si="3"/>
        <v>52710.559999999998</v>
      </c>
      <c r="G82" s="22">
        <v>52710.559999999998</v>
      </c>
      <c r="H82" s="14">
        <f t="shared" si="0"/>
        <v>0</v>
      </c>
    </row>
    <row r="83" spans="1:11" ht="15" customHeight="1" x14ac:dyDescent="0.25">
      <c r="A83" s="23" t="s">
        <v>84</v>
      </c>
      <c r="B83" s="23" t="str">
        <f t="shared" si="1"/>
        <v>0.02.0571.70005</v>
      </c>
      <c r="C83" s="13">
        <v>361</v>
      </c>
      <c r="D83" s="53" t="str">
        <f t="shared" si="2"/>
        <v>Superávit Convênio Transporte Escolar Estadual - Ensino Fundamental</v>
      </c>
      <c r="E83" s="54"/>
      <c r="F83" s="21">
        <f t="shared" si="3"/>
        <v>67797.33</v>
      </c>
      <c r="G83" s="22">
        <v>59462.49</v>
      </c>
      <c r="H83" s="14">
        <f t="shared" si="0"/>
        <v>-8334.8400000000038</v>
      </c>
    </row>
    <row r="84" spans="1:11" ht="15" customHeight="1" x14ac:dyDescent="0.25">
      <c r="A84" s="23" t="s">
        <v>155</v>
      </c>
      <c r="B84" s="23" t="str">
        <f t="shared" si="1"/>
        <v>0.02.0571.70006</v>
      </c>
      <c r="C84" s="13">
        <v>362</v>
      </c>
      <c r="D84" s="53" t="str">
        <f t="shared" si="2"/>
        <v>Superávit Convênio Transporte Escolar Estadual - Ensino Médio</v>
      </c>
      <c r="E84" s="54"/>
      <c r="F84" s="21">
        <f t="shared" si="3"/>
        <v>72487.100000000006</v>
      </c>
      <c r="G84" s="22">
        <v>72487.100000000006</v>
      </c>
      <c r="H84" s="14">
        <f t="shared" si="0"/>
        <v>0</v>
      </c>
    </row>
    <row r="85" spans="1:11" ht="15" customHeight="1" x14ac:dyDescent="0.25">
      <c r="A85" s="23" t="s">
        <v>156</v>
      </c>
      <c r="B85" s="23" t="str">
        <f t="shared" si="1"/>
        <v>0.02.0571.7000213</v>
      </c>
      <c r="C85" s="13">
        <v>361</v>
      </c>
      <c r="D85" s="53" t="str">
        <f t="shared" si="2"/>
        <v>Superávit Convênio  - Transf. Especial - Quadra Dom Afonso</v>
      </c>
      <c r="E85" s="54"/>
      <c r="F85" s="21">
        <f t="shared" si="3"/>
        <v>114.59</v>
      </c>
      <c r="G85" s="22">
        <v>0</v>
      </c>
      <c r="H85" s="14">
        <f t="shared" si="0"/>
        <v>-114.59</v>
      </c>
    </row>
    <row r="86" spans="1:11" ht="15" customHeight="1" x14ac:dyDescent="0.25">
      <c r="A86" s="23" t="s">
        <v>159</v>
      </c>
      <c r="B86" s="23" t="str">
        <f t="shared" si="1"/>
        <v>0.02.0571.7000215</v>
      </c>
      <c r="C86" s="13">
        <v>365</v>
      </c>
      <c r="D86" s="53" t="str">
        <f t="shared" si="2"/>
        <v>Superávit Convênio  - Transf. Especial - Reforma Xenia</v>
      </c>
      <c r="E86" s="54"/>
      <c r="F86" s="21">
        <f t="shared" si="3"/>
        <v>34763.86</v>
      </c>
      <c r="G86" s="22">
        <v>13088.49</v>
      </c>
      <c r="H86" s="14">
        <f t="shared" si="0"/>
        <v>-21675.370000000003</v>
      </c>
    </row>
    <row r="87" spans="1:11" ht="15" customHeight="1" x14ac:dyDescent="0.25">
      <c r="A87" s="23" t="s">
        <v>160</v>
      </c>
      <c r="B87" s="23" t="str">
        <f t="shared" si="1"/>
        <v>0.02.0571.7000216</v>
      </c>
      <c r="C87" s="13">
        <v>361</v>
      </c>
      <c r="D87" s="53" t="str">
        <f t="shared" si="2"/>
        <v>Superávit Convênio  - Transf. Especial - Aquisição Onibus</v>
      </c>
      <c r="E87" s="54"/>
      <c r="F87" s="21">
        <f t="shared" si="3"/>
        <v>8674.93</v>
      </c>
      <c r="G87" s="22">
        <v>8674.93</v>
      </c>
      <c r="H87" s="14">
        <f t="shared" si="0"/>
        <v>0</v>
      </c>
    </row>
    <row r="88" spans="1:11" ht="15" customHeight="1" x14ac:dyDescent="0.25">
      <c r="A88" s="23" t="s">
        <v>161</v>
      </c>
      <c r="B88" s="23" t="str">
        <f t="shared" si="1"/>
        <v>0.02.0571.7000218</v>
      </c>
      <c r="C88" s="13">
        <v>361</v>
      </c>
      <c r="D88" s="53" t="str">
        <f t="shared" si="2"/>
        <v>Superávit Convênio  - Transf. Especial - Ampliação Dom Afonso</v>
      </c>
      <c r="E88" s="54"/>
      <c r="F88" s="21">
        <f t="shared" si="3"/>
        <v>14935.1</v>
      </c>
      <c r="G88" s="22">
        <v>0</v>
      </c>
      <c r="H88" s="14">
        <f t="shared" si="0"/>
        <v>-14935.1</v>
      </c>
    </row>
    <row r="89" spans="1:11" ht="15" customHeight="1" x14ac:dyDescent="0.25">
      <c r="A89" s="23" t="s">
        <v>162</v>
      </c>
      <c r="B89" s="23" t="str">
        <f>B54</f>
        <v>0.02.0710.3210188</v>
      </c>
      <c r="C89" s="13">
        <v>361</v>
      </c>
      <c r="D89" s="53" t="str">
        <f t="shared" si="2"/>
        <v>Superávit - emenda Impositva Educação</v>
      </c>
      <c r="E89" s="54"/>
      <c r="F89" s="21">
        <f t="shared" si="3"/>
        <v>24280.37</v>
      </c>
      <c r="G89" s="22">
        <v>0</v>
      </c>
      <c r="H89" s="14">
        <f t="shared" si="0"/>
        <v>-24280.37</v>
      </c>
    </row>
    <row r="90" spans="1:11" x14ac:dyDescent="0.25">
      <c r="A90" s="107" t="s">
        <v>70</v>
      </c>
      <c r="B90" s="107"/>
      <c r="C90" s="107"/>
      <c r="D90" s="107"/>
      <c r="E90" s="107"/>
      <c r="F90" s="17">
        <f>SUM(F58:F89)</f>
        <v>17186645.829300001</v>
      </c>
      <c r="G90" s="16">
        <f>SUM(G58:G89)</f>
        <v>16295441.299999997</v>
      </c>
      <c r="H90" s="16">
        <f t="shared" si="0"/>
        <v>-891204.52930000424</v>
      </c>
      <c r="K90" s="19"/>
    </row>
    <row r="91" spans="1:11" ht="15.75" thickBot="1" x14ac:dyDescent="0.3">
      <c r="A91" s="9"/>
      <c r="B91" s="9"/>
      <c r="C91" s="9"/>
      <c r="D91" s="9"/>
      <c r="E91" s="9"/>
      <c r="F91" s="9"/>
      <c r="G91" s="9"/>
      <c r="H91" s="9"/>
      <c r="I91" s="4"/>
    </row>
    <row r="92" spans="1:11" ht="15" customHeight="1" thickBot="1" x14ac:dyDescent="0.3">
      <c r="A92" s="108" t="s">
        <v>71</v>
      </c>
      <c r="B92" s="109"/>
      <c r="C92" s="109"/>
      <c r="D92" s="109"/>
      <c r="E92" s="110"/>
      <c r="F92" s="30" t="s">
        <v>72</v>
      </c>
      <c r="G92" s="31" t="s">
        <v>73</v>
      </c>
      <c r="H92" s="32" t="s">
        <v>74</v>
      </c>
    </row>
    <row r="93" spans="1:11" ht="15" customHeight="1" x14ac:dyDescent="0.25">
      <c r="A93" s="111" t="s">
        <v>75</v>
      </c>
      <c r="B93" s="112"/>
      <c r="C93" s="112"/>
      <c r="D93" s="112"/>
      <c r="E93" s="112"/>
      <c r="F93" s="33">
        <v>0.25</v>
      </c>
      <c r="G93" s="34">
        <f>(G58+G59+G60+G61)/G24</f>
        <v>0.2855352286708609</v>
      </c>
      <c r="H93" s="35">
        <f>F93-G93</f>
        <v>-3.5535228670860897E-2</v>
      </c>
      <c r="K93" s="4"/>
    </row>
    <row r="94" spans="1:11" ht="15" customHeight="1" thickBot="1" x14ac:dyDescent="0.3">
      <c r="A94" s="113" t="s">
        <v>76</v>
      </c>
      <c r="B94" s="114"/>
      <c r="C94" s="114"/>
      <c r="D94" s="114"/>
      <c r="E94" s="114"/>
      <c r="F94" s="36">
        <v>0.7</v>
      </c>
      <c r="G94" s="37">
        <f>(G62+G63)/(H30)</f>
        <v>0.90487074225005404</v>
      </c>
      <c r="H94" s="38">
        <f>F94-G94</f>
        <v>-0.20487074225005408</v>
      </c>
      <c r="I94" s="4"/>
    </row>
    <row r="95" spans="1:11" x14ac:dyDescent="0.25">
      <c r="A95" s="115" t="s">
        <v>89</v>
      </c>
      <c r="B95" s="116"/>
      <c r="C95" s="116"/>
      <c r="D95" s="116"/>
      <c r="E95" s="116"/>
      <c r="F95" s="39" t="s">
        <v>90</v>
      </c>
      <c r="G95" s="39" t="s">
        <v>91</v>
      </c>
      <c r="H95" s="40" t="s">
        <v>92</v>
      </c>
      <c r="I95" s="4"/>
    </row>
    <row r="96" spans="1:11" ht="15.75" thickBot="1" x14ac:dyDescent="0.3">
      <c r="A96" s="113" t="s">
        <v>89</v>
      </c>
      <c r="B96" s="114"/>
      <c r="C96" s="114"/>
      <c r="D96" s="114"/>
      <c r="E96" s="114"/>
      <c r="F96" s="41">
        <f>(H30)*10%</f>
        <v>566513.92300000007</v>
      </c>
      <c r="G96" s="42">
        <f>H30-G62-G63-G64-G65</f>
        <v>20256.600000000675</v>
      </c>
      <c r="H96" s="38">
        <f>G96/(H30)</f>
        <v>3.575657927828311E-3</v>
      </c>
      <c r="I96" s="4"/>
    </row>
    <row r="97" spans="1:9" x14ac:dyDescent="0.25">
      <c r="A97" s="25"/>
      <c r="B97" s="26"/>
      <c r="C97" s="26"/>
      <c r="D97" s="26"/>
      <c r="E97" s="26"/>
      <c r="F97" s="27"/>
      <c r="G97" s="28"/>
      <c r="H97" s="29"/>
      <c r="I97" s="4"/>
    </row>
    <row r="98" spans="1:9" x14ac:dyDescent="0.25">
      <c r="A98" s="3" t="s">
        <v>77</v>
      </c>
    </row>
    <row r="99" spans="1:9" x14ac:dyDescent="0.25">
      <c r="A99" s="105" t="s">
        <v>170</v>
      </c>
      <c r="B99" s="71"/>
      <c r="C99" s="71"/>
      <c r="D99" s="71"/>
      <c r="E99" s="71"/>
    </row>
    <row r="100" spans="1:9" x14ac:dyDescent="0.25">
      <c r="A100" s="3" t="s">
        <v>78</v>
      </c>
    </row>
    <row r="101" spans="1:9" x14ac:dyDescent="0.25">
      <c r="A101" s="106" t="s">
        <v>93</v>
      </c>
      <c r="B101" s="71"/>
      <c r="C101" s="71"/>
      <c r="D101" s="71"/>
      <c r="E101" s="71"/>
      <c r="F101" s="71"/>
      <c r="G101" s="71"/>
      <c r="H101" s="71"/>
    </row>
    <row r="102" spans="1:9" x14ac:dyDescent="0.25">
      <c r="A102" s="106" t="s">
        <v>94</v>
      </c>
      <c r="B102" s="71"/>
      <c r="C102" s="71"/>
      <c r="D102" s="71"/>
      <c r="E102" s="71"/>
      <c r="F102" s="71"/>
      <c r="G102" s="71"/>
      <c r="H102" s="71"/>
    </row>
  </sheetData>
  <mergeCells count="111">
    <mergeCell ref="A99:E99"/>
    <mergeCell ref="A101:H101"/>
    <mergeCell ref="A102:H102"/>
    <mergeCell ref="D89:E89"/>
    <mergeCell ref="A90:E90"/>
    <mergeCell ref="A92:E92"/>
    <mergeCell ref="A93:E93"/>
    <mergeCell ref="A94:E94"/>
    <mergeCell ref="A95:E95"/>
    <mergeCell ref="A96:E96"/>
    <mergeCell ref="D68:E68"/>
    <mergeCell ref="D69:E69"/>
    <mergeCell ref="D70:E70"/>
    <mergeCell ref="D71:E71"/>
    <mergeCell ref="D67:E67"/>
    <mergeCell ref="D77:E77"/>
    <mergeCell ref="D78:E78"/>
    <mergeCell ref="D79:E79"/>
    <mergeCell ref="D72:E72"/>
    <mergeCell ref="D73:E73"/>
    <mergeCell ref="D74:E74"/>
    <mergeCell ref="D76:E76"/>
    <mergeCell ref="D75:E75"/>
    <mergeCell ref="C46:G46"/>
    <mergeCell ref="C54:G54"/>
    <mergeCell ref="C43:G43"/>
    <mergeCell ref="C44:G44"/>
    <mergeCell ref="C45:G45"/>
    <mergeCell ref="C50:G50"/>
    <mergeCell ref="C51:G51"/>
    <mergeCell ref="C52:G52"/>
    <mergeCell ref="C53:G53"/>
    <mergeCell ref="D66:E66"/>
    <mergeCell ref="D64:E64"/>
    <mergeCell ref="D65:E65"/>
    <mergeCell ref="A25:H26"/>
    <mergeCell ref="A27:A28"/>
    <mergeCell ref="B27:B28"/>
    <mergeCell ref="C27:G28"/>
    <mergeCell ref="H27:H28"/>
    <mergeCell ref="C35:G35"/>
    <mergeCell ref="C37:G37"/>
    <mergeCell ref="C38:G38"/>
    <mergeCell ref="C41:G41"/>
    <mergeCell ref="C29:G29"/>
    <mergeCell ref="C30:G30"/>
    <mergeCell ref="C33:G33"/>
    <mergeCell ref="D58:E58"/>
    <mergeCell ref="D59:E59"/>
    <mergeCell ref="D60:E60"/>
    <mergeCell ref="D62:E62"/>
    <mergeCell ref="D63:E63"/>
    <mergeCell ref="D61:E61"/>
    <mergeCell ref="A55:G55"/>
    <mergeCell ref="A56:H56"/>
    <mergeCell ref="D57:E57"/>
    <mergeCell ref="A3:H3"/>
    <mergeCell ref="A4:H4"/>
    <mergeCell ref="A6:H6"/>
    <mergeCell ref="A8:H8"/>
    <mergeCell ref="A9:F9"/>
    <mergeCell ref="G9:H9"/>
    <mergeCell ref="A21:F21"/>
    <mergeCell ref="G21:H21"/>
    <mergeCell ref="A22:F22"/>
    <mergeCell ref="G22:H22"/>
    <mergeCell ref="A18:F18"/>
    <mergeCell ref="G18:H18"/>
    <mergeCell ref="A19:F19"/>
    <mergeCell ref="G19:H19"/>
    <mergeCell ref="A15:F15"/>
    <mergeCell ref="G15:H15"/>
    <mergeCell ref="A16:F16"/>
    <mergeCell ref="G16:H16"/>
    <mergeCell ref="A17:F17"/>
    <mergeCell ref="G17:H17"/>
    <mergeCell ref="A20:F20"/>
    <mergeCell ref="G20:H20"/>
    <mergeCell ref="A14:F14"/>
    <mergeCell ref="G14:H14"/>
    <mergeCell ref="C47:G47"/>
    <mergeCell ref="C48:G48"/>
    <mergeCell ref="C49:G49"/>
    <mergeCell ref="C39:G39"/>
    <mergeCell ref="C40:G40"/>
    <mergeCell ref="A10:F10"/>
    <mergeCell ref="G10:H10"/>
    <mergeCell ref="A11:F11"/>
    <mergeCell ref="G11:H11"/>
    <mergeCell ref="A12:F12"/>
    <mergeCell ref="G12:H12"/>
    <mergeCell ref="A13:F13"/>
    <mergeCell ref="G13:H13"/>
    <mergeCell ref="C34:G34"/>
    <mergeCell ref="C36:G36"/>
    <mergeCell ref="C31:G31"/>
    <mergeCell ref="C32:G32"/>
    <mergeCell ref="A23:F23"/>
    <mergeCell ref="G23:H23"/>
    <mergeCell ref="A24:F24"/>
    <mergeCell ref="G24:H24"/>
    <mergeCell ref="C42:G42"/>
    <mergeCell ref="D85:E85"/>
    <mergeCell ref="D86:E86"/>
    <mergeCell ref="D87:E87"/>
    <mergeCell ref="D88:E88"/>
    <mergeCell ref="D80:E80"/>
    <mergeCell ref="D81:E81"/>
    <mergeCell ref="D82:E82"/>
    <mergeCell ref="D83:E83"/>
    <mergeCell ref="D84:E84"/>
  </mergeCells>
  <pageMargins left="0.23622047244094491" right="0.23622047244094491" top="0.55118110236220474" bottom="0.55118110236220474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contabilidade0</cp:lastModifiedBy>
  <cp:lastPrinted>2023-09-08T12:49:53Z</cp:lastPrinted>
  <dcterms:created xsi:type="dcterms:W3CDTF">2015-01-10T12:04:02Z</dcterms:created>
  <dcterms:modified xsi:type="dcterms:W3CDTF">2023-09-08T12:50:10Z</dcterms:modified>
</cp:coreProperties>
</file>